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C49BD18-9D3E-42E8-BCF1-80F915B96618}" xr6:coauthVersionLast="47" xr6:coauthVersionMax="47" xr10:uidLastSave="{00000000-0000-0000-0000-000000000000}"/>
  <bookViews>
    <workbookView xWindow="1440" yWindow="330" windowWidth="23190" windowHeight="1527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<sst xmlns="http://schemas.openxmlformats.org/spreadsheetml/2006/main" count="5552" uniqueCount="2363">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</sst>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AG21" sqref="AG2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2362</v>
      </c>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t="s">
        <v>396</v>
      </c>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補助金様式を都道府県に提出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15"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5"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978"/>
      <c r="F83" s="979"/>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15"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9"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15"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補助金様式を都道府県に提出</v>
      </c>
      <c r="AP2" s="736"/>
      <c r="AQ2" s="736"/>
      <c r="AR2" s="736"/>
      <c r="AS2" s="736"/>
      <c r="BC2" s="270"/>
      <c r="BD2"/>
      <c r="BE2"/>
      <c r="BF2"/>
      <c r="BG2"/>
    </row>
    <row r="3" spans="1:60" ht="27" customHeight="1" thickBot="1">
      <c r="A3" s="1142" t="s">
        <v>42</v>
      </c>
      <c r="B3" s="1142"/>
      <c r="C3" s="1143"/>
      <c r="D3" s="1144" t="str">
        <f>IF(基本情報入力シート!L22="","",基本情報入力シート!L22)</f>
        <v>○○サービス事業所</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27794424</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2</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12008544</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2</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2440140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v>
      </c>
      <c r="AF9" s="1101"/>
      <c r="AG9" s="1102" t="str">
        <f>IF(D3="", "", IFERROR(IF(COUNTIF(AR:AR,"未入力")=0,"○","×"),""))</f>
        <v>○</v>
      </c>
      <c r="AH9" s="1103"/>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1314567891</v>
      </c>
      <c r="C12" s="1082"/>
      <c r="D12" s="1082"/>
      <c r="E12" s="1082"/>
      <c r="F12" s="1082"/>
      <c r="G12" s="1087" t="str">
        <f>IF(基本情報入力シート!L39="", "", 基本情報入力シート!L39)</f>
        <v>東京都</v>
      </c>
      <c r="H12" s="1087" t="str">
        <f>IF(基本情報入力シート!Q39="", "", 基本情報入力シート!Q39)</f>
        <v>東京都</v>
      </c>
      <c r="I12" s="1087" t="str">
        <f>IF(基本情報入力シート!V39="", "", 基本情報入力シート!V39)</f>
        <v>三鷹市</v>
      </c>
      <c r="J12" s="1087" t="str">
        <f>IF(基本情報入力シート!W39="", "", 基本情報入力シート!W39)</f>
        <v>障害福祉事業所名称０１</v>
      </c>
      <c r="K12" s="1087" t="str">
        <f>IF(基本情報入力シート!X39="", "", 基本情報入力シート!X39)</f>
        <v>居宅介護</v>
      </c>
      <c r="L12" s="1035">
        <f>IF(基本情報入力シート!AC39=0, "",基本情報入力シート!AC39)</f>
        <v>361460</v>
      </c>
      <c r="M12" s="1151"/>
      <c r="N12" s="996" t="s">
        <v>216</v>
      </c>
      <c r="O12" s="981">
        <f>IFERROR(VLOOKUP(K12,【参考】数式用２!$A$2:$AD$50,MATCH(N12,【参考】数式用２!$C$4:$AD$4,0)+2,0),"")</f>
        <v>0.41700000000000004</v>
      </c>
      <c r="P12" s="1065" t="s">
        <v>216</v>
      </c>
      <c r="Q12" s="1068">
        <f>IFERROR(VLOOKUP(K12,【参考】数式用２!$A$2:$AC$50,MATCH(P12,【参考】数式用２!$C$4:$AC$4,0)+2,0),"")</f>
        <v>0.41700000000000004</v>
      </c>
      <c r="R12" s="1071" t="s">
        <v>141</v>
      </c>
      <c r="S12" s="1074">
        <v>7</v>
      </c>
      <c r="T12" s="990" t="s">
        <v>217</v>
      </c>
      <c r="U12" s="1074">
        <v>4</v>
      </c>
      <c r="V12" s="990" t="s">
        <v>218</v>
      </c>
      <c r="W12" s="1074">
        <v>8</v>
      </c>
      <c r="X12" s="990" t="s">
        <v>217</v>
      </c>
      <c r="Y12" s="1074">
        <v>3</v>
      </c>
      <c r="Z12" s="990" t="s">
        <v>219</v>
      </c>
      <c r="AA12" s="990" t="s">
        <v>72</v>
      </c>
      <c r="AB12" s="990">
        <f>IF(S12&gt;=1,(W12*12+Y12)-(S12*12+U12)+1,"")</f>
        <v>12</v>
      </c>
      <c r="AC12" s="993" t="s">
        <v>220</v>
      </c>
      <c r="AD12" s="984">
        <f>IFERROR(ROUNDDOWN(ROUND(L12*Q12,0),0)*AB12,"")</f>
        <v>1808748</v>
      </c>
      <c r="AE12" s="987">
        <f>IFERROR(ROUNDDOWN(ROUNDDOWN(ROUND(L12*VLOOKUP(K12,【参考】数式用２!$A$2:$AC$50,MATCH("処遇改善加算Ⅳ",【参考】数式用２!$C$4:$O$4,0)+2,0),0),0)*AB12*0.5,0), "")</f>
        <v>592074</v>
      </c>
      <c r="AF12" s="1050" t="s">
        <v>2339</v>
      </c>
      <c r="AG12" s="984" t="str">
        <f>IF(AND(AQ12&lt;&gt;"対象外", P12&lt;&gt;""),ROUNDDOWN(ROUND(L12*VLOOKUP(K12,【参考】数式用２!$A$2:$K$50,MATCH("ベア加算あり",【参考】数式用２!$C$4:$K$4,0)+2,0),0),0)*AB12,"")</f>
        <v/>
      </c>
      <c r="AH12" s="1053"/>
      <c r="AI12" s="1050" t="s">
        <v>2339</v>
      </c>
      <c r="AJ12" s="1050" t="s">
        <v>2339</v>
      </c>
      <c r="AK12" s="1056">
        <v>1</v>
      </c>
      <c r="AL12" s="1059" t="s">
        <v>2285</v>
      </c>
      <c r="AM12" s="572" t="str">
        <f>IF(Q12="","",IF(Q12&lt;O12,"！加算の要件上は問題ありませんが、令和６年度末の加算率と比較して、令和７年度の加算率が低くなっています。",""))</f>
        <v/>
      </c>
      <c r="AN12" s="326"/>
      <c r="AO12" s="1045" t="str">
        <f>IF(K12&lt;&gt;"","Q列に色付け","")</f>
        <v>Q列に色付け</v>
      </c>
      <c r="AP12" s="1063"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4" t="str">
        <f>IF(AND(P12="処遇改善加算Ⅰ", AL12=""), "未入力","入力済")</f>
        <v>入力済</v>
      </c>
      <c r="AY12" s="1046" t="str">
        <f>G12</f>
        <v>東京都</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7"/>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7"/>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1314567892</v>
      </c>
      <c r="C16" s="1030"/>
      <c r="D16" s="1030"/>
      <c r="E16" s="1030"/>
      <c r="F16" s="1030"/>
      <c r="G16" s="1030" t="str">
        <f>IF(基本情報入力シート!L40="", "",基本情報入力シート!L40)</f>
        <v>東京都</v>
      </c>
      <c r="H16" s="1030" t="str">
        <f>IF(基本情報入力シート!Q40="", "",基本情報入力シート!Q40)</f>
        <v>東京都</v>
      </c>
      <c r="I16" s="1030" t="str">
        <f>IF(基本情報入力シート!V40="", "",基本情報入力シート!V40)</f>
        <v>府中市</v>
      </c>
      <c r="J16" s="1030" t="str">
        <f>IF(基本情報入力シート!W40="", "",基本情報入力シート!W40)</f>
        <v>障害福祉事業所名称０２</v>
      </c>
      <c r="K16" s="1030" t="str">
        <f>IF(基本情報入力シート!X40="", "",基本情報入力シート!X40)</f>
        <v>生活介護</v>
      </c>
      <c r="L16" s="1035">
        <f>IF(基本情報入力シート!AC40=0, "",基本情報入力シート!AC40)</f>
        <v>4479300</v>
      </c>
      <c r="M16" s="1150"/>
      <c r="N16" s="996" t="s">
        <v>224</v>
      </c>
      <c r="O16" s="981">
        <f>IFERROR(VLOOKUP(K16,【参考】数式用２!$A$2:$AD$50,MATCH(N16,【参考】数式用２!$C$4:$AD$4,0)+2,0),"")</f>
        <v>5.4999999999999993E-2</v>
      </c>
      <c r="P16" s="1065" t="s">
        <v>224</v>
      </c>
      <c r="Q16" s="1068">
        <f>IFERROR(VLOOKUP(K16,【参考】数式用２!$A$2:$AC$50,MATCH(P16,【参考】数式用２!$C$4:$AC$4,0)+2,0),"")</f>
        <v>5.4999999999999993E-2</v>
      </c>
      <c r="R16" s="1071" t="s">
        <v>141</v>
      </c>
      <c r="S16" s="1074">
        <v>7</v>
      </c>
      <c r="T16" s="990" t="s">
        <v>217</v>
      </c>
      <c r="U16" s="1074">
        <v>4</v>
      </c>
      <c r="V16" s="990" t="s">
        <v>218</v>
      </c>
      <c r="W16" s="1074">
        <v>8</v>
      </c>
      <c r="X16" s="990" t="s">
        <v>217</v>
      </c>
      <c r="Y16" s="1074">
        <v>3</v>
      </c>
      <c r="Z16" s="990" t="s">
        <v>219</v>
      </c>
      <c r="AA16" s="990" t="s">
        <v>72</v>
      </c>
      <c r="AB16" s="990">
        <f>IF(S16&gt;=1,(W16*12+Y16)-(S16*12+U16)+1,"")</f>
        <v>12</v>
      </c>
      <c r="AC16" s="993" t="s">
        <v>220</v>
      </c>
      <c r="AD16" s="984">
        <f>IFERROR(ROUNDDOWN(ROUND(L16*Q16,0),0)*AB16,"")</f>
        <v>2956344</v>
      </c>
      <c r="AE16" s="987">
        <f>IFERROR(ROUNDDOWN(ROUNDDOWN(ROUND(L16*VLOOKUP(K16,【参考】数式用２!$A$2:$AC$50,MATCH("処遇改善加算Ⅳ",【参考】数式用２!$C$4:$O$4,0)+2,0),0),0)*AB16*0.5,0), "")</f>
        <v>1478172</v>
      </c>
      <c r="AF16" s="1050" t="s">
        <v>2339</v>
      </c>
      <c r="AG16" s="984" t="str">
        <f>IF(AND(AQ16&lt;&gt;"対象外", P16&lt;&gt;""),ROUNDDOWN(ROUND(L16*VLOOKUP(K16,【参考】数式用２!$A$2:$K$50,MATCH("ベア加算あり",【参考】数式用２!$C$4:$K$4,0)+2,0),0),0)*AB16,"")</f>
        <v/>
      </c>
      <c r="AH16" s="1053"/>
      <c r="AI16" s="1050" t="s">
        <v>2339</v>
      </c>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Q列に色付け</v>
      </c>
      <c r="AP16" s="1063"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4" t="str">
        <f>IF(AND(P16="処遇改善加算Ⅰ", AL16=""), "未入力","入力済")</f>
        <v>入力済</v>
      </c>
      <c r="AY16" s="1045" t="str">
        <f>G16</f>
        <v>東京都</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7"/>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7"/>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1314567893</v>
      </c>
      <c r="C20" s="1030"/>
      <c r="D20" s="1030"/>
      <c r="E20" s="1030"/>
      <c r="F20" s="1030"/>
      <c r="G20" s="1030" t="str">
        <f>IF(基本情報入力シート!L41="", "",基本情報入力シート!L41)</f>
        <v>東京都</v>
      </c>
      <c r="H20" s="1030" t="str">
        <f>IF(基本情報入力シート!Q41="", "",基本情報入力シート!Q41)</f>
        <v>東京都</v>
      </c>
      <c r="I20" s="1030" t="str">
        <f>IF(基本情報入力シート!V41="", "",基本情報入力シート!V41)</f>
        <v>小金井市</v>
      </c>
      <c r="J20" s="1030" t="str">
        <f>IF(基本情報入力シート!W41="", "",基本情報入力シート!W41)</f>
        <v>障害福祉事業所名称０３</v>
      </c>
      <c r="K20" s="1030" t="str">
        <f>IF(基本情報入力シート!X41="", "",基本情報入力シート!X41)</f>
        <v>就労継続支援Ｂ型</v>
      </c>
      <c r="L20" s="1035">
        <f>IF(基本情報入力シート!AC41=0, "",基本情報入力シート!AC41)</f>
        <v>2296530</v>
      </c>
      <c r="M20" s="1038"/>
      <c r="N20" s="996" t="s">
        <v>238</v>
      </c>
      <c r="O20" s="981">
        <f>IFERROR(VLOOKUP(K20,【参考】数式用２!$A$2:$AD$50,MATCH(N20,【参考】数式用２!$C$4:$AD$4,0)+2,0),"")</f>
        <v>3.1E-2</v>
      </c>
      <c r="P20" s="1065" t="s">
        <v>224</v>
      </c>
      <c r="Q20" s="1068">
        <f>IFERROR(VLOOKUP(K20,【参考】数式用２!$A$2:$AC$50,MATCH(P20,【参考】数式用２!$C$4:$AC$4,0)+2,0),"")</f>
        <v>6.2E-2</v>
      </c>
      <c r="R20" s="1071" t="s">
        <v>141</v>
      </c>
      <c r="S20" s="1074">
        <v>7</v>
      </c>
      <c r="T20" s="990" t="s">
        <v>217</v>
      </c>
      <c r="U20" s="1074">
        <v>4</v>
      </c>
      <c r="V20" s="990" t="s">
        <v>218</v>
      </c>
      <c r="W20" s="1074">
        <v>8</v>
      </c>
      <c r="X20" s="990" t="s">
        <v>217</v>
      </c>
      <c r="Y20" s="1074">
        <v>3</v>
      </c>
      <c r="Z20" s="990" t="s">
        <v>219</v>
      </c>
      <c r="AA20" s="990" t="s">
        <v>72</v>
      </c>
      <c r="AB20" s="990">
        <f>IF(S20&gt;=1,(W20*12+Y20)-(S20*12+U20)+1,"")</f>
        <v>12</v>
      </c>
      <c r="AC20" s="993" t="s">
        <v>220</v>
      </c>
      <c r="AD20" s="984">
        <f>IFERROR(ROUNDDOWN(ROUND(L20*Q20,0),0)*AB20,"")</f>
        <v>1708620</v>
      </c>
      <c r="AE20" s="987">
        <f>IFERROR(ROUNDDOWN(ROUNDDOWN(ROUND(L20*VLOOKUP(K20,【参考】数式用２!$A$2:$AC$50,MATCH("処遇改善加算Ⅳ",【参考】数式用２!$C$4:$O$4,0)+2,0),0),0)*AB20*0.5,0), "")</f>
        <v>854310</v>
      </c>
      <c r="AF20" s="1050" t="s">
        <v>2339</v>
      </c>
      <c r="AG20" s="984">
        <f>IF(AND(AQ20&lt;&gt;"対象外", P20&lt;&gt;""),ROUNDDOWN(ROUND(L20*VLOOKUP(K20,【参考】数式用２!$A$2:$K$50,MATCH("ベア加算あり",【参考】数式用２!$C$4:$K$4,0)+2,0),0),0)*AB20,"")</f>
        <v>358260</v>
      </c>
      <c r="AH20" s="1053" t="s">
        <v>2339</v>
      </c>
      <c r="AI20" s="1050" t="s">
        <v>221</v>
      </c>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Q列に色付け</v>
      </c>
      <c r="AP20" s="1063"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4" t="str">
        <f>IF(AND(P20="処遇改善加算Ⅰ", AL20=""), "未入力","入力済")</f>
        <v>入力済</v>
      </c>
      <c r="AY20" s="1045" t="str">
        <f>G20</f>
        <v>東京都</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7"/>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7"/>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1314567894</v>
      </c>
      <c r="C24" s="1030"/>
      <c r="D24" s="1030"/>
      <c r="E24" s="1030"/>
      <c r="F24" s="1030"/>
      <c r="G24" s="1030" t="str">
        <f>IF(基本情報入力シート!L42="", "",基本情報入力シート!L42)</f>
        <v>東京都</v>
      </c>
      <c r="H24" s="1030" t="str">
        <f>IF(基本情報入力シート!Q42="", "",基本情報入力シート!Q42)</f>
        <v>東京都</v>
      </c>
      <c r="I24" s="1030" t="str">
        <f>IF(基本情報入力シート!V42="", "",基本情報入力シート!V42)</f>
        <v>八王子市</v>
      </c>
      <c r="J24" s="1030" t="str">
        <f>IF(基本情報入力シート!W42="", "",基本情報入力シート!W42)</f>
        <v>障害福祉事業所名称０４</v>
      </c>
      <c r="K24" s="1030" t="str">
        <f>IF(基本情報入力シート!X42="", "",基本情報入力シート!X42)</f>
        <v>施設入所支援</v>
      </c>
      <c r="L24" s="1035">
        <f>IF(基本情報入力シート!AC42=0, "",基本情報入力シート!AC42)</f>
        <v>5971100</v>
      </c>
      <c r="M24" s="1038"/>
      <c r="N24" s="996" t="s">
        <v>225</v>
      </c>
      <c r="O24" s="981">
        <f>IFERROR(VLOOKUP(K24,【参考】数式用２!$A$2:$AD$50,MATCH(N24,【参考】数式用２!$C$4:$AD$4,0)+2,0),"")</f>
        <v>0.13100000000000001</v>
      </c>
      <c r="P24" s="1065" t="s">
        <v>216</v>
      </c>
      <c r="Q24" s="1068">
        <f>IFERROR(VLOOKUP(K24,【参考】数式用２!$A$2:$AC$50,MATCH(P24,【参考】数式用２!$C$4:$AC$4,0)+2,0),"")</f>
        <v>0.159</v>
      </c>
      <c r="R24" s="1071" t="s">
        <v>141</v>
      </c>
      <c r="S24" s="1074">
        <v>7</v>
      </c>
      <c r="T24" s="990" t="s">
        <v>217</v>
      </c>
      <c r="U24" s="1074">
        <v>4</v>
      </c>
      <c r="V24" s="990" t="s">
        <v>218</v>
      </c>
      <c r="W24" s="1074">
        <v>8</v>
      </c>
      <c r="X24" s="990" t="s">
        <v>217</v>
      </c>
      <c r="Y24" s="1074">
        <v>3</v>
      </c>
      <c r="Z24" s="990" t="s">
        <v>219</v>
      </c>
      <c r="AA24" s="990" t="s">
        <v>72</v>
      </c>
      <c r="AB24" s="990">
        <f>IF(S24&gt;=1,(W24*12+Y24)-(S24*12+U24)+1,"")</f>
        <v>12</v>
      </c>
      <c r="AC24" s="993" t="s">
        <v>220</v>
      </c>
      <c r="AD24" s="984">
        <f>IFERROR(ROUNDDOWN(ROUND(L24*Q24,0),0)*AB24,"")</f>
        <v>11392860</v>
      </c>
      <c r="AE24" s="987">
        <f>IFERROR(ROUNDDOWN(ROUNDDOWN(ROUND(L24*VLOOKUP(K24,【参考】数式用２!$A$2:$AC$50,MATCH("処遇改善加算Ⅳ",【参考】数式用２!$C$4:$O$4,0)+2,0),0),0)*AB24*0.5,0), "")</f>
        <v>4120062</v>
      </c>
      <c r="AF24" s="1050" t="s">
        <v>2339</v>
      </c>
      <c r="AG24" s="984">
        <f>IF(AND(AQ24&lt;&gt;"対象外", P24&lt;&gt;""),ROUNDDOWN(ROUND(L24*VLOOKUP(K24,【参考】数式用２!$A$2:$K$50,MATCH("ベア加算あり",【参考】数式用２!$C$4:$K$4,0)+2,0),0),0)*AB24,"")</f>
        <v>2006292</v>
      </c>
      <c r="AH24" s="1053" t="s">
        <v>2339</v>
      </c>
      <c r="AI24" s="1050" t="s">
        <v>221</v>
      </c>
      <c r="AJ24" s="1050" t="s">
        <v>2339</v>
      </c>
      <c r="AK24" s="1056">
        <v>1</v>
      </c>
      <c r="AL24" s="1059" t="s">
        <v>2287</v>
      </c>
      <c r="AM24" s="572" t="str">
        <f t="shared" ref="AM24" si="6">IF(Q24="","",IF(Q24&lt;O24,"！加算の要件上は問題ありませんが、令和６年度末の加算率と比較して、令和７年度の加算率が低くなっています。",""))</f>
        <v/>
      </c>
      <c r="AN24" s="326"/>
      <c r="AO24" s="1045" t="str">
        <f>IF(K24&lt;&gt;"","Q列に色付け","")</f>
        <v>Q列に色付け</v>
      </c>
      <c r="AP24" s="1063"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4" t="str">
        <f>IF(AND(P24="処遇改善加算Ⅰ", AL24=""), "未入力","入力済")</f>
        <v>入力済</v>
      </c>
      <c r="AY24" s="1045" t="str">
        <f>G24</f>
        <v>東京都</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7"/>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7"/>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1314567895</v>
      </c>
      <c r="C28" s="1030"/>
      <c r="D28" s="1030"/>
      <c r="E28" s="1030"/>
      <c r="F28" s="1030"/>
      <c r="G28" s="1030" t="str">
        <f>IF(基本情報入力シート!L43="", "",基本情報入力シート!L43)</f>
        <v>東京都</v>
      </c>
      <c r="H28" s="1030" t="str">
        <f>IF(基本情報入力シート!Q43="", "",基本情報入力シート!Q43)</f>
        <v>東京都</v>
      </c>
      <c r="I28" s="1030" t="str">
        <f>IF(基本情報入力シート!V43="", "",基本情報入力シート!V43)</f>
        <v>八王子市</v>
      </c>
      <c r="J28" s="1030" t="str">
        <f>IF(基本情報入力シート!W43="", "",基本情報入力シート!W43)</f>
        <v>障害福祉事業所名称０５</v>
      </c>
      <c r="K28" s="1030" t="str">
        <f>IF(基本情報入力シート!X43="", "",基本情報入力シート!X43)</f>
        <v>障害者支援施設：生活介護</v>
      </c>
      <c r="L28" s="1035">
        <f>IF(基本情報入力シート!AC43=0, "",基本情報入力シート!AC43)</f>
        <v>11849100</v>
      </c>
      <c r="M28" s="1038"/>
      <c r="N28" s="996" t="s">
        <v>224</v>
      </c>
      <c r="O28" s="981">
        <f>IFERROR(VLOOKUP(K28,【参考】数式用２!$A$2:$AD$50,MATCH(N28,【参考】数式用２!$C$4:$AD$4,0)+2,0),"")</f>
        <v>6.7000000000000004E-2</v>
      </c>
      <c r="P28" s="1065" t="s">
        <v>224</v>
      </c>
      <c r="Q28" s="1068">
        <f>IFERROR(VLOOKUP(K28,【参考】数式用２!$A$2:$AC$50,MATCH(P28,【参考】数式用２!$C$4:$AC$4,0)+2,0),"")</f>
        <v>6.7000000000000004E-2</v>
      </c>
      <c r="R28" s="1071" t="s">
        <v>141</v>
      </c>
      <c r="S28" s="1074">
        <v>7</v>
      </c>
      <c r="T28" s="990" t="s">
        <v>217</v>
      </c>
      <c r="U28" s="1074">
        <v>4</v>
      </c>
      <c r="V28" s="990" t="s">
        <v>218</v>
      </c>
      <c r="W28" s="1074">
        <v>8</v>
      </c>
      <c r="X28" s="990" t="s">
        <v>217</v>
      </c>
      <c r="Y28" s="1074">
        <v>3</v>
      </c>
      <c r="Z28" s="990" t="s">
        <v>219</v>
      </c>
      <c r="AA28" s="990" t="s">
        <v>72</v>
      </c>
      <c r="AB28" s="990">
        <f>IF(S28&gt;=1,(W28*12+Y28)-(S28*12+U28)+1,"")</f>
        <v>12</v>
      </c>
      <c r="AC28" s="993" t="s">
        <v>220</v>
      </c>
      <c r="AD28" s="984">
        <f>IFERROR(ROUNDDOWN(ROUND(L28*Q28,0),0)*AB28,"")</f>
        <v>9526680</v>
      </c>
      <c r="AE28" s="987">
        <f>IFERROR(ROUNDDOWN(ROUNDDOWN(ROUND(L28*VLOOKUP(K28,【参考】数式用２!$A$2:$AC$50,MATCH("処遇改善加算Ⅳ",【参考】数式用２!$C$4:$O$4,0)+2,0),0),0)*AB28*0.5,0), "")</f>
        <v>4763340</v>
      </c>
      <c r="AF28" s="1050" t="s">
        <v>2339</v>
      </c>
      <c r="AG28" s="984" t="str">
        <f>IF(AND(AQ28&lt;&gt;"対象外", P28&lt;&gt;""),ROUNDDOWN(ROUND(L28*VLOOKUP(K28,【参考】数式用２!$A$2:$K$50,MATCH("ベア加算あり",【参考】数式用２!$C$4:$K$4,0)+2,0),0),0)*AB28,"")</f>
        <v/>
      </c>
      <c r="AH28" s="1053"/>
      <c r="AI28" s="1050" t="s">
        <v>2339</v>
      </c>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Q列に色付け</v>
      </c>
      <c r="AP28" s="1063"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4" t="str">
        <f>IF(AND(P28="処遇改善加算Ⅰ", AL28=""), "未入力","入力済")</f>
        <v>入力済</v>
      </c>
      <c r="AY28" s="1045" t="str">
        <f>G28</f>
        <v>東京都</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7"/>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7"/>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1314567896</v>
      </c>
      <c r="C32" s="1044"/>
      <c r="D32" s="1044"/>
      <c r="E32" s="1044"/>
      <c r="F32" s="1044"/>
      <c r="G32" s="1044" t="str">
        <f>IF(基本情報入力シート!L44="", "",基本情報入力シート!L44)</f>
        <v>東京都</v>
      </c>
      <c r="H32" s="1044" t="str">
        <f>IF(基本情報入力シート!Q44="", "",基本情報入力シート!Q44)</f>
        <v>東京都</v>
      </c>
      <c r="I32" s="1044" t="str">
        <f>IF(基本情報入力シート!V44="", "",基本情報入力シート!V44)</f>
        <v>調布市</v>
      </c>
      <c r="J32" s="1044" t="str">
        <f>IF(基本情報入力シート!W44="", "",基本情報入力シート!W44)</f>
        <v>障害福祉事業所名称０６</v>
      </c>
      <c r="K32" s="1044" t="str">
        <f>IF(基本情報入力シート!X44="", "",基本情報入力シート!X44)</f>
        <v>就労移行支援（養成施設）</v>
      </c>
      <c r="L32" s="1035">
        <f>IF(基本情報入力シート!AC44=0, "",基本情報入力シート!AC44)</f>
        <v>484500</v>
      </c>
      <c r="M32" s="1038"/>
      <c r="N32" s="996" t="s">
        <v>238</v>
      </c>
      <c r="O32" s="981">
        <f>IFERROR(VLOOKUP(K32,【参考】数式用２!$A$2:$AD$50,MATCH(N32,【参考】数式用２!$C$4:$AD$4,0)+2,0),"")</f>
        <v>3.4999999999999996E-2</v>
      </c>
      <c r="P32" s="1065" t="s">
        <v>224</v>
      </c>
      <c r="Q32" s="1068">
        <f>IFERROR(VLOOKUP(K32,【参考】数式用２!$A$2:$AC$50,MATCH(P32,【参考】数式用２!$C$4:$AC$4,0)+2,0),"")</f>
        <v>6.8999999999999992E-2</v>
      </c>
      <c r="R32" s="1071" t="s">
        <v>141</v>
      </c>
      <c r="S32" s="1074">
        <v>7</v>
      </c>
      <c r="T32" s="990" t="s">
        <v>217</v>
      </c>
      <c r="U32" s="1074">
        <v>4</v>
      </c>
      <c r="V32" s="990" t="s">
        <v>218</v>
      </c>
      <c r="W32" s="1074">
        <v>8</v>
      </c>
      <c r="X32" s="990" t="s">
        <v>217</v>
      </c>
      <c r="Y32" s="1074">
        <v>3</v>
      </c>
      <c r="Z32" s="990" t="s">
        <v>219</v>
      </c>
      <c r="AA32" s="990" t="s">
        <v>72</v>
      </c>
      <c r="AB32" s="990">
        <f>IF(S32&gt;=1,(W32*12+Y32)-(S32*12+U32)+1,"")</f>
        <v>12</v>
      </c>
      <c r="AC32" s="993" t="s">
        <v>220</v>
      </c>
      <c r="AD32" s="984">
        <f>IFERROR(ROUNDDOWN(ROUND(L32*Q32,0),0)*AB32,"")</f>
        <v>401172</v>
      </c>
      <c r="AE32" s="987">
        <f>IFERROR(ROUNDDOWN(ROUNDDOWN(ROUND(L32*VLOOKUP(K32,【参考】数式用２!$A$2:$AC$50,MATCH("処遇改善加算Ⅳ",【参考】数式用２!$C$4:$O$4,0)+2,0),0),0)*AB32*0.5,0), "")</f>
        <v>200586</v>
      </c>
      <c r="AF32" s="1050" t="s">
        <v>2339</v>
      </c>
      <c r="AG32" s="984">
        <f>IF(AND(AQ32&lt;&gt;"対象外", P32&lt;&gt;""),ROUNDDOWN(ROUND(L32*VLOOKUP(K32,【参考】数式用２!$A$2:$K$50,MATCH("ベア加算あり",【参考】数式用２!$C$4:$K$4,0)+2,0),0),0)*AB32,"")</f>
        <v>75588</v>
      </c>
      <c r="AH32" s="1053" t="s">
        <v>2339</v>
      </c>
      <c r="AI32" s="1050" t="s">
        <v>221</v>
      </c>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Q列に色付け</v>
      </c>
      <c r="AP32" s="1063"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4" t="str">
        <f>IF(AND(P32="処遇改善加算Ⅰ", AL32=""), "未入力","入力済")</f>
        <v>入力済</v>
      </c>
      <c r="AY32" s="1045" t="str">
        <f>G32</f>
        <v>東京都</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7"/>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7"/>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7"/>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7"/>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7"/>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7"/>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7"/>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7"/>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7"/>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7"/>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7"/>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7"/>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7"/>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7"/>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7"/>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7"/>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7"/>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7"/>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7"/>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7"/>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7"/>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7"/>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7"/>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7"/>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7"/>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7"/>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7"/>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7"/>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7"/>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7"/>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7"/>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7"/>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7"/>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7"/>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7"/>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7"/>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7"/>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7"/>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7"/>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7"/>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7"/>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7"/>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7"/>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7"/>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7"/>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7"/>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7"/>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7"/>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7"/>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7"/>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7"/>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7"/>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7"/>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7"/>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7"/>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7"/>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7"/>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7"/>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7"/>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7"/>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7"/>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7"/>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7"/>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7"/>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7"/>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7"/>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7"/>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7"/>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7"/>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7"/>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7"/>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7"/>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7"/>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7"/>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7"/>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7"/>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7"/>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7"/>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7"/>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7"/>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7"/>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7"/>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7"/>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7"/>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7"/>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7"/>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7"/>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7"/>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7"/>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7"/>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7"/>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7"/>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7"/>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7"/>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7"/>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7"/>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7"/>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7"/>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7"/>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7"/>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7"/>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7"/>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7"/>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7"/>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7"/>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7"/>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7"/>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7"/>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7"/>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7"/>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7"/>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7"/>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7"/>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7"/>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7"/>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7"/>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7"/>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7"/>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7"/>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7"/>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7"/>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7"/>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7"/>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7"/>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7"/>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7"/>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7"/>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7"/>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7"/>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7"/>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7"/>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7"/>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7"/>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7"/>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7"/>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7"/>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7"/>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7"/>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7"/>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7"/>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7"/>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7"/>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7"/>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7"/>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7"/>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7"/>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7"/>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7"/>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7"/>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7"/>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7"/>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7"/>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7"/>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7"/>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7"/>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7"/>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7"/>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7"/>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7"/>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7"/>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7"/>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7"/>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7"/>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7"/>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7"/>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7"/>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7"/>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7"/>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7"/>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7"/>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7"/>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7"/>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7"/>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7"/>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7"/>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7"/>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7"/>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7"/>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7"/>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7"/>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7"/>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7"/>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7"/>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7"/>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7"/>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7"/>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7"/>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7"/>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7"/>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7"/>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東京都</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補助金様式を都道府県に提出</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○○サービスジギョウショ</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○○サービス事業所</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6" t="s">
        <v>43</v>
      </c>
      <c r="B6" s="857"/>
      <c r="C6" s="857"/>
      <c r="D6" s="857"/>
      <c r="E6" s="857"/>
      <c r="F6" s="1206"/>
      <c r="G6" s="86" t="s">
        <v>15</v>
      </c>
      <c r="H6" s="1207" t="str">
        <f>IF(基本情報入力シート!AM24="－","",基本情報入力シート!AM24)</f>
        <v>100-1234</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東京都千代田区霞が関1-2-2</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コウロウ　ハナコ</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厚労　花子</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7" t="s">
        <v>26</v>
      </c>
      <c r="H11" s="878"/>
      <c r="I11" s="878"/>
      <c r="J11" s="878"/>
      <c r="K11" s="1228" t="str">
        <f>IF(基本情報入力シート!L31="","",基本情報入力シート!L31)</f>
        <v>03-3571-XXXX</v>
      </c>
      <c r="L11" s="1229"/>
      <c r="M11" s="1229"/>
      <c r="N11" s="1229"/>
      <c r="O11" s="1229"/>
      <c r="P11" s="1229"/>
      <c r="Q11" s="1229"/>
      <c r="R11" s="1229"/>
      <c r="S11" s="1229"/>
      <c r="T11" s="1230"/>
      <c r="U11" s="1219" t="s">
        <v>27</v>
      </c>
      <c r="V11" s="1220"/>
      <c r="W11" s="1220"/>
      <c r="X11" s="1221"/>
      <c r="Y11" s="1228" t="str">
        <f>IF(基本情報入力シート!L32="","",基本情報入力シート!L32)</f>
        <v>aaa@aaa.aa.jp</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t="s">
        <v>2344</v>
      </c>
      <c r="B15" s="1235" t="s">
        <v>2359</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t="s">
        <v>2344</v>
      </c>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t="s">
        <v>2344</v>
      </c>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t="s">
        <v>247</v>
      </c>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15"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6" t="s">
        <v>252</v>
      </c>
      <c r="AB28" s="1186"/>
      <c r="AC28" s="1186"/>
      <c r="AD28" s="1186"/>
      <c r="AE28" s="1186"/>
      <c r="AF28" s="1186"/>
      <c r="AG28" s="1186"/>
      <c r="AH28" s="1186"/>
      <c r="AI28" s="1186"/>
      <c r="AJ28" s="54"/>
    </row>
    <row r="29" spans="1:48" ht="30" customHeight="1">
      <c r="A29" s="110" t="s">
        <v>2344</v>
      </c>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6" t="s">
        <v>134</v>
      </c>
      <c r="AB31" s="1186"/>
      <c r="AC31" s="1186"/>
      <c r="AD31" s="1186"/>
      <c r="AE31" s="1186"/>
      <c r="AF31" s="1186"/>
      <c r="AG31" s="1186"/>
      <c r="AH31" s="1186"/>
      <c r="AI31" s="1186"/>
      <c r="AJ31" s="27"/>
      <c r="AK31" s="18"/>
      <c r="AL31" s="19"/>
    </row>
    <row r="32" spans="1:48" ht="19.899999999999999" customHeight="1">
      <c r="A32" s="110" t="s">
        <v>2344</v>
      </c>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t="s">
        <v>2344</v>
      </c>
      <c r="B33" s="1176" t="s">
        <v>2357</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v>
      </c>
      <c r="AI35" s="1179"/>
      <c r="AJ35" s="23"/>
      <c r="AK35" s="849" t="s">
        <v>256</v>
      </c>
      <c r="AL35" s="850"/>
      <c r="AM35" s="850"/>
      <c r="AN35" s="850"/>
      <c r="AO35" s="850"/>
      <c r="AP35" s="850"/>
      <c r="AQ35" s="850"/>
      <c r="AR35" s="850"/>
      <c r="AS35" s="850"/>
      <c r="AT35" s="850"/>
      <c r="AU35" s="850"/>
      <c r="AV35" s="851"/>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51" t="s">
        <v>2358</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t="s">
        <v>2344</v>
      </c>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4">
        <v>7</v>
      </c>
      <c r="E43" s="1182"/>
      <c r="F43" s="32" t="s">
        <v>142</v>
      </c>
      <c r="G43" s="1180" t="s">
        <v>2355</v>
      </c>
      <c r="H43" s="1181"/>
      <c r="I43" s="32" t="s">
        <v>143</v>
      </c>
      <c r="J43" s="1180" t="s">
        <v>2355</v>
      </c>
      <c r="K43" s="1181"/>
      <c r="L43" s="32" t="s">
        <v>144</v>
      </c>
      <c r="M43" s="27"/>
      <c r="N43" s="874" t="s">
        <v>42</v>
      </c>
      <c r="O43" s="874"/>
      <c r="P43" s="874"/>
      <c r="Q43" s="1256" t="str">
        <f>IF(G5="","",G5)</f>
        <v>○○サービス事業所</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31" t="str">
        <f>IF(基本情報入力シート!L26="", "", 基本情報入力シート!L26)</f>
        <v>代表取締役</v>
      </c>
      <c r="T44" s="1231"/>
      <c r="U44" s="1231"/>
      <c r="V44" s="1231"/>
      <c r="W44" s="1231"/>
      <c r="X44" s="966"/>
      <c r="Y44" s="966"/>
      <c r="Z44" s="1231" t="str">
        <f>IF(基本情報入力シート!L27="", "", 基本情報入力シート!L27)</f>
        <v>厚労　太郎</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〇</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東京都</v>
      </c>
      <c r="B64" s="1258"/>
      <c r="C64" s="1240">
        <f>IFERROR(SUMIF('別紙様式2-4（補助金 個票） '!$D$11:$D$110, '別紙様式2-3（補助金　総括表）'!A64, '別紙様式2-4（補助金 個票） '!$M$11:$M$110), "未入力あり")</f>
        <v>2457870</v>
      </c>
      <c r="D64" s="1240"/>
      <c r="E64" s="1240"/>
      <c r="F64" s="1240"/>
      <c r="G64" s="1240"/>
      <c r="H64" s="1241" t="str">
        <f>IF(C64&gt;0, IFERROR((VLOOKUP(A64&amp;"○"&amp;"○", '別紙様式2-4（補助金 個票） '!AI:AJ, 2, FALSE)), "振込先未選択"), "")</f>
        <v>障害福祉事業所名称０１</v>
      </c>
      <c r="I64" s="1241"/>
      <c r="J64" s="1241"/>
      <c r="K64" s="1241"/>
      <c r="L64" s="1241"/>
      <c r="M64" s="1241"/>
      <c r="N64" s="1241"/>
      <c r="O64" s="1241"/>
      <c r="P64" s="1241"/>
      <c r="Q64" s="1241"/>
      <c r="R64" s="1241"/>
      <c r="S64" s="1241"/>
      <c r="T64" s="1242" t="str">
        <f>IFERROR(IF(H64="", "", VLOOKUP(H64, '別紙様式2-4（補助金 個票） '!$F$11:$S$110, 14, FALSE)), "未記入")</f>
        <v>債権譲渡をしていない</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東京都</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補助金様式を都道府県に提出</v>
      </c>
      <c r="AI2" s="736"/>
      <c r="AJ2" s="736"/>
      <c r="AK2" s="736"/>
      <c r="AL2" s="736"/>
    </row>
    <row r="3" spans="1:38" ht="31.15" customHeight="1" thickBot="1">
      <c r="A3" s="1299" t="s">
        <v>42</v>
      </c>
      <c r="B3" s="1300"/>
      <c r="C3" s="1301" t="str">
        <f>IF(基本情報入力シート!L22="", "", 基本情報入力シート!L22)</f>
        <v>○○サービス事業所</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2457870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2457870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4" t="str">
        <f t="shared" si="2"/>
        <v/>
      </c>
      <c r="V13" s="1044"/>
      <c r="W13" s="1044"/>
      <c r="X13" s="1044"/>
      <c r="Y13" s="1044"/>
      <c r="Z13" s="1044"/>
      <c r="AA13" s="1044"/>
      <c r="AB13" s="1044"/>
      <c r="AC13" s="1044"/>
      <c r="AD13" s="1044"/>
      <c r="AE13" s="1044"/>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4" t="str">
        <f t="shared" si="2"/>
        <v/>
      </c>
      <c r="V14" s="1044"/>
      <c r="W14" s="1044"/>
      <c r="X14" s="1044"/>
      <c r="Y14" s="1044"/>
      <c r="Z14" s="1044"/>
      <c r="AA14" s="1044"/>
      <c r="AB14" s="1044"/>
      <c r="AC14" s="1044"/>
      <c r="AD14" s="1044"/>
      <c r="AE14" s="1044"/>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4" t="str">
        <f t="shared" si="2"/>
        <v/>
      </c>
      <c r="V15" s="1044"/>
      <c r="W15" s="1044"/>
      <c r="X15" s="1044"/>
      <c r="Y15" s="1044"/>
      <c r="Z15" s="1044"/>
      <c r="AA15" s="1044"/>
      <c r="AB15" s="1044"/>
      <c r="AC15" s="1044"/>
      <c r="AD15" s="1044"/>
      <c r="AE15" s="1044"/>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4" t="str">
        <f t="shared" si="2"/>
        <v/>
      </c>
      <c r="V16" s="1044"/>
      <c r="W16" s="1044"/>
      <c r="X16" s="1044"/>
      <c r="Y16" s="1044"/>
      <c r="Z16" s="1044"/>
      <c r="AA16" s="1044"/>
      <c r="AB16" s="1044"/>
      <c r="AC16" s="1044"/>
      <c r="AD16" s="1044"/>
      <c r="AE16" s="1044"/>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2025-04-01T04:36:23Z</dcterms:created>
  <dcterms:modified xsi:type="dcterms:W3CDTF">2025-04-01T04:41:04Z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